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erre Delanaye\Documents\MesPublications terminéesPDF\"/>
    </mc:Choice>
  </mc:AlternateContent>
  <xr:revisionPtr revIDLastSave="0" documentId="8_{F9E4085E-846B-4FFA-999E-56A86508021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SP mGFR" sheetId="3" r:id="rId1"/>
    <sheet name="SSP mGFR" sheetId="5" r:id="rId2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  <c r="C18" i="5"/>
  <c r="G5" i="5" s="1"/>
  <c r="H5" i="5" s="1" a="1"/>
  <c r="E7" i="3"/>
  <c r="C24" i="3"/>
  <c r="E20" i="3"/>
  <c r="E21" i="3"/>
  <c r="E22" i="3"/>
  <c r="E23" i="3"/>
  <c r="E24" i="3"/>
  <c r="E19" i="3"/>
  <c r="F20" i="3"/>
  <c r="F21" i="3"/>
  <c r="F22" i="3"/>
  <c r="F23" i="3"/>
  <c r="F24" i="3"/>
  <c r="F19" i="3"/>
  <c r="H5" i="5" l="1"/>
  <c r="C20" i="3"/>
  <c r="C21" i="3"/>
  <c r="C22" i="3"/>
  <c r="C23" i="3"/>
  <c r="C19" i="3"/>
  <c r="I4" i="3" l="1"/>
  <c r="I6" i="3"/>
  <c r="I5" i="3"/>
  <c r="E18" i="5" l="1"/>
  <c r="B13" i="5"/>
  <c r="E13" i="5"/>
  <c r="E14" i="5" s="1"/>
  <c r="E8" i="5"/>
  <c r="E9" i="5" l="1"/>
  <c r="B11" i="3"/>
  <c r="E6" i="3" s="1"/>
  <c r="I5" i="5" l="1"/>
  <c r="E11" i="3"/>
  <c r="E10" i="3" l="1"/>
  <c r="I7" i="3" l="1"/>
  <c r="I8" i="3" l="1"/>
  <c r="I9" i="3" s="1"/>
  <c r="I12" i="3" s="1"/>
  <c r="I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Ebert, Natalie</author>
    <author>tc={E34CAC3E-D8C7-41C0-8E15-7A26B73DBAC9}</author>
    <author>tc={618282B2-0941-4454-B473-458CBC0EEF37}</author>
    <author>tc={E4F35682-7B88-40EA-9556-37E4F3779555}</author>
  </authors>
  <commentList>
    <comment ref="M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Ebert, Natalie:</t>
        </r>
        <r>
          <rPr>
            <sz val="9"/>
            <color indexed="81"/>
            <rFont val="Segoe UI"/>
            <family val="2"/>
          </rPr>
          <t xml:space="preserve">
Ask Tariq to get rid of Natural scale as we never talk about it in MS</t>
        </r>
      </text>
    </comment>
    <comment ref="A10" authorId="1" shapeId="0" xr:uid="{00000000-0006-0000-0000-00000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Enter either pre and post syringe weight in B9-B10, or the injected volume of iohexol in B12. Calculations based on weight, if weight data is provided</t>
      </text>
    </comment>
    <comment ref="B17" authorId="2" shapeId="0" xr:uid="{00000000-0006-0000-0000-00000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Enter in format hh:min</t>
      </text>
    </comment>
    <comment ref="A19" authorId="3" shapeId="0" xr:uid="{00000000-0006-0000-0000-00000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Enter 2 - 6 sample times in the format hh:min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tc={7AEF3CA0-D731-44A3-B01B-FAC55BF05D31}</author>
  </authors>
  <commentList>
    <comment ref="B18" authorId="0" shapeId="0" xr:uid="{00000000-0006-0000-0100-00000100000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For periods extending more than 1 day 24h can be added to the time. Samling time at 08&gt;00 the day after the day of injecting can be entered as 32:00.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<sst xmlns="http://schemas.openxmlformats.org/spreadsheetml/2006/main" count="74" uniqueCount="56">
  <si>
    <t>Patient details</t>
  </si>
  <si>
    <t>MRN</t>
  </si>
  <si>
    <t>Last name</t>
  </si>
  <si>
    <t>First name</t>
  </si>
  <si>
    <t xml:space="preserve">Date of visit </t>
  </si>
  <si>
    <t>Height, cm</t>
  </si>
  <si>
    <t>Weight, kg</t>
  </si>
  <si>
    <t>BSA, m²</t>
  </si>
  <si>
    <t>Dose, mcg</t>
  </si>
  <si>
    <t>Iohexol</t>
  </si>
  <si>
    <t>Ln iohexol</t>
  </si>
  <si>
    <t>One Compartment Iohexol Clearance Calculations</t>
  </si>
  <si>
    <t>Sample Time, min</t>
  </si>
  <si>
    <t>min</t>
  </si>
  <si>
    <t>mcg/ml</t>
  </si>
  <si>
    <t>(mcg/ml)</t>
  </si>
  <si>
    <t>Intercept</t>
  </si>
  <si>
    <t>Slope</t>
  </si>
  <si>
    <t>Exp  intercept</t>
  </si>
  <si>
    <t>Area</t>
  </si>
  <si>
    <t>Clearance=dose/area</t>
  </si>
  <si>
    <t>Brochner-Mortenson</t>
  </si>
  <si>
    <t>GFR (ml/min)</t>
  </si>
  <si>
    <t>GFR (mL/min)</t>
  </si>
  <si>
    <t>GFR, ml/min/1.73m²</t>
  </si>
  <si>
    <t>Actual time for injection</t>
  </si>
  <si>
    <t>Iohexol details</t>
  </si>
  <si>
    <t>Sample nr 1</t>
  </si>
  <si>
    <t>Sample nr 2</t>
  </si>
  <si>
    <t>Sample nr 3</t>
  </si>
  <si>
    <t>Sample nr 4</t>
  </si>
  <si>
    <t>expected nonindexed GFR, ml/min</t>
  </si>
  <si>
    <t>Iohexol, mcg/mL</t>
  </si>
  <si>
    <t>Actual time for sampling</t>
  </si>
  <si>
    <t>or insert injected volume, mL</t>
  </si>
  <si>
    <t>alt enter injected volume, mL</t>
  </si>
  <si>
    <t>Output</t>
  </si>
  <si>
    <r>
      <t>GFR (ml/min/1.73m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</si>
  <si>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Injection to sampling time, min</t>
  </si>
  <si>
    <t>estimated optimal sampling time, min</t>
  </si>
  <si>
    <t>estimated optimal sampling time, hours</t>
  </si>
  <si>
    <t>estimated ECV estimate, mL</t>
  </si>
  <si>
    <t>Result (Jacobsson's iterative method)</t>
  </si>
  <si>
    <t>Sample nr 5</t>
  </si>
  <si>
    <t>Sample nr 6</t>
  </si>
  <si>
    <t>Density of iohexol, g/mL</t>
  </si>
  <si>
    <t>Inj vol based on weight, mL</t>
  </si>
  <si>
    <t>Inj vol direct measured, mL</t>
  </si>
  <si>
    <t>Gender (male = M, female = F)</t>
  </si>
  <si>
    <t>M</t>
  </si>
  <si>
    <r>
      <t>R</t>
    </r>
    <r>
      <rPr>
        <vertAlign val="superscript"/>
        <sz val="10"/>
        <rFont val="Arial"/>
        <family val="2"/>
      </rPr>
      <t>2</t>
    </r>
  </si>
  <si>
    <t>Pre Iohexol Wt, g</t>
  </si>
  <si>
    <t>Post Iohexol Wt., g</t>
  </si>
  <si>
    <t>Injected amount Iohexol, g</t>
  </si>
  <si>
    <t>Conc of iohexol as mg iodine/mL</t>
  </si>
  <si>
    <t>Pre Iohexol Wt.,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</si>
</sst>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[$-F400]h:mm:ss\ AM/PM"/>
    <numFmt numFmtId="166" formatCode="h:mm;@"/>
    <numFmt numFmtId="167" formatCode="0.0"/>
    <numFmt numFmtId="168" formatCode="yyyy/mm/dd\ hh:mm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top" wrapText="1"/>
    </xf>
    <xf numFmtId="2" fontId="5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1" fontId="3" fillId="2" borderId="0" xfId="0" applyNumberFormat="1" applyFont="1" applyFill="1" applyAlignment="1">
      <alignment horizontal="center" vertical="top"/>
    </xf>
    <xf numFmtId="2" fontId="4" fillId="2" borderId="0" xfId="0" applyNumberFormat="1" applyFont="1" applyFill="1" applyAlignment="1">
      <alignment vertical="top" wrapText="1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166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67" fontId="3" fillId="2" borderId="1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167" fontId="3" fillId="2" borderId="0" xfId="0" applyNumberFormat="1" applyFont="1" applyFill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7" fontId="11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167" fontId="3" fillId="2" borderId="0" xfId="0" applyNumberFormat="1" applyFont="1" applyFill="1"/>
    <xf numFmtId="1" fontId="3" fillId="2" borderId="1" xfId="0" applyNumberFormat="1" applyFont="1" applyFill="1" applyBorder="1" applyAlignment="1">
      <alignment horizontal="center" vertical="top"/>
    </xf>
    <xf numFmtId="167" fontId="3" fillId="2" borderId="1" xfId="0" applyNumberFormat="1" applyFont="1" applyFill="1" applyBorder="1" applyAlignment="1">
      <alignment horizontal="center" vertical="top"/>
    </xf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4" fillId="2" borderId="0" xfId="0" applyFont="1" applyFill="1"/>
    <xf numFmtId="168" fontId="3" fillId="2" borderId="0" xfId="0" applyNumberFormat="1" applyFont="1" applyFill="1" applyAlignment="1">
      <alignment horizontal="left"/>
    </xf>
    <xf numFmtId="20" fontId="3" fillId="2" borderId="0" xfId="0" applyNumberFormat="1" applyFont="1" applyFill="1"/>
    <xf numFmtId="165" fontId="3" fillId="2" borderId="0" xfId="0" applyNumberFormat="1" applyFont="1" applyFill="1"/>
    <xf numFmtId="2" fontId="3" fillId="2" borderId="0" xfId="0" applyNumberFormat="1" applyFont="1" applyFill="1" applyAlignment="1">
      <alignment horizontal="left"/>
    </xf>
    <xf numFmtId="0" fontId="15" fillId="2" borderId="0" xfId="0" applyFont="1" applyFill="1"/>
    <xf numFmtId="164" fontId="3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left"/>
      <protection locked="0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166" fontId="3" fillId="3" borderId="1" xfId="0" quotePrefix="1" applyNumberFormat="1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20" fontId="3" fillId="3" borderId="1" xfId="0" quotePrefix="1" applyNumberFormat="1" applyFont="1" applyFill="1" applyBorder="1" applyAlignment="1" applyProtection="1">
      <alignment horizontal="left"/>
      <protection locked="0"/>
    </xf>
    <xf numFmtId="20" fontId="3" fillId="3" borderId="0" xfId="0" quotePrefix="1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71FFD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050"/>
              <a:t>Iohexol decline, log scale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607770182573333"/>
          <c:y val="0.15280112044817928"/>
          <c:w val="0.80416053762510453"/>
          <c:h val="0.64829616886124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7.7138877377169957E-2"/>
                  <c:y val="0.224667492406145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'MSP mGFR'!$B$19:$B$24</c:f>
              <c:numCache>
                <c:formatCode>h:mm</c:formatCode>
                <c:ptCount val="6"/>
                <c:pt idx="0">
                  <c:v>0.67361111111111116</c:v>
                </c:pt>
                <c:pt idx="1">
                  <c:v>0.6875</c:v>
                </c:pt>
                <c:pt idx="2">
                  <c:v>0.70138888888888884</c:v>
                </c:pt>
                <c:pt idx="3">
                  <c:v>0.71527777777777779</c:v>
                </c:pt>
                <c:pt idx="4">
                  <c:v>0.72361111111111109</c:v>
                </c:pt>
                <c:pt idx="5">
                  <c:v>0.72916666666666663</c:v>
                </c:pt>
              </c:numCache>
            </c:numRef>
          </c:xVal>
          <c:yVal>
            <c:numRef>
              <c:f>'MSP mGFR'!$F$19:$F$24</c:f>
              <c:numCache>
                <c:formatCode>General</c:formatCode>
                <c:ptCount val="6"/>
                <c:pt idx="0">
                  <c:v>4.2484952420493594</c:v>
                </c:pt>
                <c:pt idx="1">
                  <c:v>4.0943445622221004</c:v>
                </c:pt>
                <c:pt idx="2">
                  <c:v>3.8501476017100584</c:v>
                </c:pt>
                <c:pt idx="3">
                  <c:v>3.6109179126442243</c:v>
                </c:pt>
                <c:pt idx="4">
                  <c:v>3.4011973816621555</c:v>
                </c:pt>
                <c:pt idx="5">
                  <c:v>3.2188758248682006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E6-4FC1-9B02-6FB1FAEE3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020456"/>
        <c:axId val="147720216"/>
      </c:scatterChart>
      <c:valAx>
        <c:axId val="32602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Sample</a:t>
                </a:r>
                <a:r>
                  <a:rPr lang="sv-SE" baseline="0"/>
                  <a:t> time. hh:min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20216"/>
        <c:crosses val="autoZero"/>
        <c:crossBetween val="midCat"/>
      </c:valAx>
      <c:valAx>
        <c:axId val="14772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ln</a:t>
                </a:r>
                <a:r>
                  <a:rPr lang="sv-SE" baseline="0"/>
                  <a:t> (iohexol)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6020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13</xdr:row>
      <xdr:rowOff>160020</xdr:rowOff>
    </xdr:from>
    <xdr:to>
      <xdr:col>9</xdr:col>
      <xdr:colOff>45720</xdr:colOff>
      <xdr:row>24</xdr:row>
      <xdr:rowOff>53340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46CBB57-705B-4B33-B0D9-FFFC3A87B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nnar Nordin" id="{3BEBCAA7-E5AB-4175-8751-B94EA8445D27}" userId="S::gunnar.nordin@equalis.se::6e7e4e95-2478-4c33-b865-4a62f5ae5e8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3-12-10T09:37:29.20" personId="{3BEBCAA7-E5AB-4175-8751-B94EA8445D27}" id="{E34CAC3E-D8C7-41C0-8E15-7A26B73DBAC9}">
    <text>Enter either pre and post syringe weight in B9-B10, or the injected volume of iohexol in B12. Calculations based on weight, if weight data is provided</text>
  </threadedComment>
  <threadedComment ref="B17" dT="2023-12-10T09:34:14.88" personId="{3BEBCAA7-E5AB-4175-8751-B94EA8445D27}" id="{618282B2-0941-4454-B473-458CBC0EEF37}">
    <text>Enter in format hh:min</text>
  </threadedComment>
  <threadedComment ref="A19" dT="2023-12-01T09:44:06.64" personId="{3BEBCAA7-E5AB-4175-8751-B94EA8445D27}" id="{E4F35682-7B88-40EA-9556-37E4F3779555}">
    <text>Enter 2 - 6 sample times in the format hh:min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8" dT="2023-12-02T22:13:16.38" personId="{3BEBCAA7-E5AB-4175-8751-B94EA8445D27}" id="{7AEF3CA0-D731-44A3-B01B-FAC55BF05D31}">
    <text xml:space="preserve">For periods extending more than 1 day 24h can be added to the time. Samling time at 08&gt;00 the day after the day of injecting can be entered as 32:00.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2"/>
  <sheetViews>
    <sheetView showZeros="0" workbookViewId="0">
      <selection activeCell="C19" sqref="C19"/>
    </sheetView>
  </sheetViews>
  <sheetFormatPr baseColWidth="10" defaultColWidth="9.44140625" defaultRowHeight="13.2" x14ac:dyDescent="0.25"/>
  <cols>
    <col min="1" max="1" width="28.5546875" style="2" customWidth="1"/>
    <col min="2" max="2" width="12.5546875" style="7" bestFit="1" customWidth="1"/>
    <col min="3" max="3" width="8.5546875" style="2" customWidth="1"/>
    <col min="4" max="4" width="27.33203125" style="7" customWidth="1"/>
    <col min="5" max="5" width="10.5546875" style="2" bestFit="1" customWidth="1"/>
    <col min="6" max="6" width="1.44140625" style="2" customWidth="1"/>
    <col min="7" max="7" width="7.88671875" style="2" customWidth="1"/>
    <col min="8" max="8" width="28.5546875" style="2" customWidth="1"/>
    <col min="9" max="9" width="15.5546875" style="3" customWidth="1"/>
    <col min="10" max="10" width="11.44140625" style="2" customWidth="1"/>
    <col min="11" max="11" width="26.5546875" style="2" bestFit="1" customWidth="1"/>
    <col min="12" max="12" width="11.44140625" style="4" customWidth="1"/>
    <col min="13" max="15" width="11.44140625" style="2" customWidth="1"/>
    <col min="16" max="16384" width="9.44140625" style="2"/>
  </cols>
  <sheetData>
    <row r="1" spans="1:13" ht="13.8" x14ac:dyDescent="0.25">
      <c r="A1" s="55" t="s">
        <v>0</v>
      </c>
      <c r="B1" s="56"/>
      <c r="C1" s="57"/>
      <c r="D1" s="58" t="s">
        <v>26</v>
      </c>
      <c r="E1" s="57"/>
      <c r="F1" s="57"/>
      <c r="G1" s="57"/>
      <c r="H1" s="55" t="s">
        <v>36</v>
      </c>
    </row>
    <row r="2" spans="1:13" x14ac:dyDescent="0.25">
      <c r="A2" s="1"/>
      <c r="D2" s="47"/>
    </row>
    <row r="3" spans="1:13" ht="28.8" x14ac:dyDescent="0.25">
      <c r="A3" s="16" t="s">
        <v>1</v>
      </c>
      <c r="B3" s="74"/>
      <c r="D3" s="17" t="s">
        <v>45</v>
      </c>
      <c r="E3" s="78">
        <v>1.349</v>
      </c>
      <c r="H3" s="23" t="s">
        <v>11</v>
      </c>
      <c r="I3" s="20"/>
    </row>
    <row r="4" spans="1:13" ht="14.4" x14ac:dyDescent="0.25">
      <c r="A4" s="18" t="s">
        <v>2</v>
      </c>
      <c r="B4" s="74"/>
      <c r="D4" s="17" t="s">
        <v>54</v>
      </c>
      <c r="E4" s="78">
        <v>647</v>
      </c>
      <c r="H4" s="24" t="s">
        <v>16</v>
      </c>
      <c r="I4" s="38">
        <f>INTERCEPT(E19:E24, C19:C24)</f>
        <v>6.3438874526449478</v>
      </c>
    </row>
    <row r="5" spans="1:13" ht="14.4" x14ac:dyDescent="0.25">
      <c r="A5" s="18" t="s">
        <v>3</v>
      </c>
      <c r="B5" s="74"/>
      <c r="H5" s="22" t="s">
        <v>17</v>
      </c>
      <c r="I5" s="38">
        <f>SLOPE(E19:E24, C19:C24)</f>
        <v>-1.2694274505449339E-2</v>
      </c>
    </row>
    <row r="6" spans="1:13" ht="15.6" x14ac:dyDescent="0.25">
      <c r="A6" s="18" t="s">
        <v>4</v>
      </c>
      <c r="B6" s="75"/>
      <c r="D6" s="21" t="s">
        <v>46</v>
      </c>
      <c r="E6" s="36" t="str">
        <f>IF(B10="","",B11/E3)</f>
        <v/>
      </c>
      <c r="H6" s="17" t="s">
        <v>50</v>
      </c>
      <c r="I6" s="38">
        <f>(CORREL(C19:C24,E19:E24))^2</f>
        <v>0.97854389340880654</v>
      </c>
    </row>
    <row r="7" spans="1:13" ht="14.4" x14ac:dyDescent="0.25">
      <c r="A7" s="18" t="s">
        <v>5</v>
      </c>
      <c r="B7" s="74">
        <v>168</v>
      </c>
      <c r="D7" s="21" t="s">
        <v>47</v>
      </c>
      <c r="E7" s="29">
        <f>B12</f>
        <v>5.0599999999999996</v>
      </c>
      <c r="H7" s="25" t="s">
        <v>18</v>
      </c>
      <c r="I7" s="36">
        <f>EXP(I4)</f>
        <v>569.00399355110744</v>
      </c>
    </row>
    <row r="8" spans="1:13" ht="14.4" x14ac:dyDescent="0.25">
      <c r="A8" s="18" t="s">
        <v>6</v>
      </c>
      <c r="B8" s="74">
        <v>87</v>
      </c>
      <c r="E8" s="3"/>
      <c r="H8" s="26" t="s">
        <v>19</v>
      </c>
      <c r="I8" s="36">
        <f>I7/ABS(I5)</f>
        <v>44823.671751138521</v>
      </c>
      <c r="K8" s="67"/>
    </row>
    <row r="9" spans="1:13" ht="14.4" x14ac:dyDescent="0.25">
      <c r="A9" s="19" t="s">
        <v>51</v>
      </c>
      <c r="B9" s="76">
        <v>23</v>
      </c>
      <c r="E9" s="3"/>
      <c r="H9" s="26" t="s">
        <v>20</v>
      </c>
      <c r="I9" s="37">
        <f>E11/I8</f>
        <v>73.037747067582529</v>
      </c>
    </row>
    <row r="10" spans="1:13" ht="15" customHeight="1" x14ac:dyDescent="0.25">
      <c r="A10" s="19" t="s">
        <v>52</v>
      </c>
      <c r="B10" s="76"/>
      <c r="D10" s="17" t="s">
        <v>7</v>
      </c>
      <c r="E10" s="71">
        <f>IF(B7="","",0.007184*POWER((B7),0.725)*POWER(B8,0.425))</f>
        <v>1.9679371999242716</v>
      </c>
    </row>
    <row r="11" spans="1:13" ht="14.25" customHeight="1" x14ac:dyDescent="0.25">
      <c r="A11" s="19" t="s">
        <v>53</v>
      </c>
      <c r="B11" s="49" t="str">
        <f>IF(B9="","",IF(B10="","",B9-B10))</f>
        <v/>
      </c>
      <c r="D11" s="17" t="s">
        <v>8</v>
      </c>
      <c r="E11" s="71">
        <f>IF(B11="",B12*$E$4*1000,B11*$E$4/E3*1000)</f>
        <v>3273819.9999999995</v>
      </c>
      <c r="H11" s="27" t="s">
        <v>21</v>
      </c>
      <c r="I11" s="28"/>
    </row>
    <row r="12" spans="1:13" ht="13.8" x14ac:dyDescent="0.25">
      <c r="A12" s="19" t="s">
        <v>35</v>
      </c>
      <c r="B12" s="76">
        <v>5.0599999999999996</v>
      </c>
      <c r="H12" s="40" t="s">
        <v>22</v>
      </c>
      <c r="I12" s="43">
        <f>(I9*0.990778)-(0.001218*I9*I9)</f>
        <v>65.866756743134744</v>
      </c>
    </row>
    <row r="13" spans="1:13" ht="14.4" customHeight="1" x14ac:dyDescent="0.25">
      <c r="H13" s="39" t="s">
        <v>24</v>
      </c>
      <c r="I13" s="42">
        <f>I12*1.73/E10</f>
        <v>57.903010914173485</v>
      </c>
    </row>
    <row r="15" spans="1:13" x14ac:dyDescent="0.25">
      <c r="A15" s="46"/>
      <c r="B15" s="48"/>
    </row>
    <row r="16" spans="1:13" ht="15" customHeight="1" x14ac:dyDescent="0.25">
      <c r="F16" s="5"/>
      <c r="G16" s="5"/>
    </row>
    <row r="17" spans="1:13" ht="15" customHeight="1" x14ac:dyDescent="0.3">
      <c r="A17" s="17" t="s">
        <v>25</v>
      </c>
      <c r="B17" s="79">
        <v>0.5625</v>
      </c>
      <c r="C17" s="21"/>
      <c r="D17" s="30" t="s">
        <v>9</v>
      </c>
      <c r="E17" s="30" t="s">
        <v>10</v>
      </c>
      <c r="G17" s="66"/>
    </row>
    <row r="18" spans="1:13" ht="15" customHeight="1" x14ac:dyDescent="0.3">
      <c r="A18" s="18" t="s">
        <v>12</v>
      </c>
      <c r="B18" s="16"/>
      <c r="C18" s="20" t="s">
        <v>13</v>
      </c>
      <c r="D18" s="34" t="s">
        <v>14</v>
      </c>
      <c r="E18" s="69" t="s">
        <v>15</v>
      </c>
      <c r="G18" s="66">
        <v>0</v>
      </c>
    </row>
    <row r="19" spans="1:13" ht="15" customHeight="1" x14ac:dyDescent="0.3">
      <c r="A19" s="21" t="s">
        <v>27</v>
      </c>
      <c r="B19" s="80">
        <v>0.67361111111111116</v>
      </c>
      <c r="C19" s="68">
        <f t="shared" ref="C19:C24" si="0">IF(B19="","",(B19-B$17)*60*24)</f>
        <v>160.00000000000006</v>
      </c>
      <c r="D19" s="74">
        <v>70</v>
      </c>
      <c r="E19" s="70">
        <f>IF(D19="","",LN(D19))</f>
        <v>4.2484952420493594</v>
      </c>
      <c r="F19" s="66">
        <f t="shared" ref="F19:F24" si="1">IF(ISNUMBER(D19),LN(D19),NA())</f>
        <v>4.2484952420493594</v>
      </c>
      <c r="G19" s="66"/>
    </row>
    <row r="20" spans="1:13" s="11" customFormat="1" ht="15" customHeight="1" x14ac:dyDescent="0.3">
      <c r="A20" s="21" t="s">
        <v>28</v>
      </c>
      <c r="B20" s="79">
        <v>0.6875</v>
      </c>
      <c r="C20" s="68">
        <f t="shared" si="0"/>
        <v>180</v>
      </c>
      <c r="D20" s="74">
        <v>60</v>
      </c>
      <c r="E20" s="70">
        <f t="shared" ref="E20:E24" si="2">IF(D20="","",LN(D20))</f>
        <v>4.0943445622221004</v>
      </c>
      <c r="F20" s="66">
        <f t="shared" si="1"/>
        <v>4.0943445622221004</v>
      </c>
      <c r="G20" s="66"/>
      <c r="H20" s="2"/>
      <c r="I20" s="3"/>
      <c r="L20" s="12"/>
    </row>
    <row r="21" spans="1:13" ht="15" customHeight="1" x14ac:dyDescent="0.3">
      <c r="A21" s="21" t="s">
        <v>29</v>
      </c>
      <c r="B21" s="79">
        <v>0.70138888888888884</v>
      </c>
      <c r="C21" s="68">
        <f t="shared" si="0"/>
        <v>199.99999999999994</v>
      </c>
      <c r="D21" s="74">
        <v>47</v>
      </c>
      <c r="E21" s="70">
        <f t="shared" si="2"/>
        <v>3.8501476017100584</v>
      </c>
      <c r="F21" s="66">
        <f t="shared" si="1"/>
        <v>3.8501476017100584</v>
      </c>
      <c r="G21" s="66"/>
      <c r="K21" s="13"/>
      <c r="L21" s="6"/>
    </row>
    <row r="22" spans="1:13" ht="14.4" x14ac:dyDescent="0.3">
      <c r="A22" s="21" t="s">
        <v>30</v>
      </c>
      <c r="B22" s="79">
        <v>0.71527777777777779</v>
      </c>
      <c r="C22" s="68">
        <f t="shared" si="0"/>
        <v>220.00000000000003</v>
      </c>
      <c r="D22" s="74">
        <v>37</v>
      </c>
      <c r="E22" s="70">
        <f t="shared" si="2"/>
        <v>3.6109179126442243</v>
      </c>
      <c r="F22" s="66">
        <f t="shared" si="1"/>
        <v>3.6109179126442243</v>
      </c>
      <c r="G22" s="66"/>
      <c r="K22" s="13"/>
      <c r="L22" s="6"/>
    </row>
    <row r="23" spans="1:13" ht="16.350000000000001" customHeight="1" x14ac:dyDescent="0.3">
      <c r="A23" s="21" t="s">
        <v>43</v>
      </c>
      <c r="B23" s="79">
        <v>0.72361111111111109</v>
      </c>
      <c r="C23" s="68">
        <f t="shared" si="0"/>
        <v>232</v>
      </c>
      <c r="D23" s="74">
        <v>30</v>
      </c>
      <c r="E23" s="70">
        <f t="shared" si="2"/>
        <v>3.4011973816621555</v>
      </c>
      <c r="F23" s="66">
        <f t="shared" si="1"/>
        <v>3.4011973816621555</v>
      </c>
      <c r="G23" s="11"/>
      <c r="K23" s="14"/>
      <c r="L23" s="15"/>
    </row>
    <row r="24" spans="1:13" ht="15.75" customHeight="1" x14ac:dyDescent="0.3">
      <c r="A24" s="17" t="s">
        <v>44</v>
      </c>
      <c r="B24" s="79">
        <v>0.72916666666666663</v>
      </c>
      <c r="C24" s="68">
        <f t="shared" si="0"/>
        <v>239.99999999999994</v>
      </c>
      <c r="D24" s="74">
        <v>25</v>
      </c>
      <c r="E24" s="70">
        <f t="shared" si="2"/>
        <v>3.2188758248682006</v>
      </c>
      <c r="F24" s="66">
        <f t="shared" si="1"/>
        <v>3.2188758248682006</v>
      </c>
      <c r="G24" s="7"/>
      <c r="K24" s="14"/>
      <c r="L24" s="15"/>
    </row>
    <row r="25" spans="1:13" ht="17.25" customHeight="1" x14ac:dyDescent="0.3">
      <c r="B25" s="63"/>
      <c r="C25" s="64"/>
      <c r="F25" s="7"/>
      <c r="G25" s="7"/>
      <c r="K25" s="14"/>
      <c r="L25" s="15"/>
    </row>
    <row r="26" spans="1:13" ht="17.100000000000001" customHeight="1" x14ac:dyDescent="0.25">
      <c r="B26" s="63"/>
      <c r="C26" s="64"/>
      <c r="D26" s="65"/>
      <c r="F26" s="7"/>
      <c r="G26" s="7"/>
    </row>
    <row r="27" spans="1:13" ht="17.100000000000001" customHeight="1" x14ac:dyDescent="0.25">
      <c r="B27" s="63"/>
      <c r="F27" s="7"/>
      <c r="G27" s="7"/>
      <c r="M27" s="3"/>
    </row>
    <row r="28" spans="1:13" x14ac:dyDescent="0.25">
      <c r="B28" s="2"/>
      <c r="F28" s="7"/>
      <c r="G28" s="7"/>
      <c r="M28" s="3"/>
    </row>
    <row r="29" spans="1:13" x14ac:dyDescent="0.25">
      <c r="A29" s="44"/>
      <c r="B29" s="2"/>
      <c r="F29" s="7"/>
      <c r="G29" s="7"/>
      <c r="M29" s="3"/>
    </row>
    <row r="30" spans="1:13" x14ac:dyDescent="0.25">
      <c r="B30" s="41"/>
      <c r="C30" s="45"/>
      <c r="M30" s="3"/>
    </row>
    <row r="31" spans="1:13" x14ac:dyDescent="0.25">
      <c r="M31" s="3"/>
    </row>
    <row r="32" spans="1:13" x14ac:dyDescent="0.25">
      <c r="M32" s="3"/>
    </row>
    <row r="33" spans="13:13" x14ac:dyDescent="0.25">
      <c r="M33" s="3"/>
    </row>
    <row r="34" spans="13:13" x14ac:dyDescent="0.25">
      <c r="M34" s="3"/>
    </row>
    <row r="35" spans="13:13" x14ac:dyDescent="0.25">
      <c r="M35" s="3"/>
    </row>
    <row r="36" spans="13:13" x14ac:dyDescent="0.25">
      <c r="M36" s="3"/>
    </row>
    <row r="37" spans="13:13" x14ac:dyDescent="0.25">
      <c r="M37" s="3"/>
    </row>
    <row r="38" spans="13:13" x14ac:dyDescent="0.25">
      <c r="M38" s="3"/>
    </row>
    <row r="39" spans="13:13" x14ac:dyDescent="0.25">
      <c r="M39" s="3"/>
    </row>
    <row r="40" spans="13:13" x14ac:dyDescent="0.25">
      <c r="M40" s="3"/>
    </row>
    <row r="41" spans="13:13" x14ac:dyDescent="0.25">
      <c r="M41" s="3"/>
    </row>
    <row r="42" spans="13:13" x14ac:dyDescent="0.25">
      <c r="M42" s="3"/>
    </row>
  </sheetData>
  <sheetProtection algorithmName="SHA-512" hashValue="1QVJB35JgZ66ICZWhEbKlNrcJAV7MCDvzP8XxYDwOOfCrUQpr+1HV3s2DeGE+BgwnCLLFDYyFj/lWdaSVKCwyQ==" saltValue="FdFxUhgUAHRc73QYQh46gQ==" spinCount="100000" sheet="1" objects="1" scenarios="1"/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2"/>
  <sheetViews>
    <sheetView tabSelected="1" zoomScaleNormal="100" workbookViewId="0">
      <selection activeCell="B7" sqref="B7"/>
    </sheetView>
  </sheetViews>
  <sheetFormatPr baseColWidth="10" defaultColWidth="9.44140625" defaultRowHeight="13.2" x14ac:dyDescent="0.25"/>
  <cols>
    <col min="1" max="1" width="33.5546875" style="2" customWidth="1"/>
    <col min="2" max="2" width="12.5546875" style="7" bestFit="1" customWidth="1"/>
    <col min="3" max="3" width="8.5546875" style="2" customWidth="1"/>
    <col min="4" max="4" width="33.44140625" style="7" customWidth="1"/>
    <col min="5" max="5" width="16.5546875" style="2" customWidth="1"/>
    <col min="6" max="6" width="11.88671875" style="2" customWidth="1"/>
    <col min="7" max="7" width="24" style="2" customWidth="1"/>
    <col min="8" max="8" width="11.5546875" style="3" bestFit="1" customWidth="1"/>
    <col min="9" max="9" width="15.44140625" style="2" customWidth="1"/>
    <col min="10" max="10" width="26.5546875" style="2" bestFit="1" customWidth="1"/>
    <col min="11" max="11" width="11.44140625" style="4" customWidth="1"/>
    <col min="12" max="14" width="11.44140625" style="2" customWidth="1"/>
    <col min="15" max="16384" width="9.44140625" style="2"/>
  </cols>
  <sheetData>
    <row r="1" spans="1:11" ht="13.8" x14ac:dyDescent="0.25">
      <c r="A1" s="55" t="s">
        <v>0</v>
      </c>
      <c r="B1" s="56"/>
      <c r="C1" s="57"/>
      <c r="D1" s="58" t="s">
        <v>26</v>
      </c>
      <c r="E1" s="57"/>
      <c r="F1" s="57"/>
      <c r="G1" s="57"/>
      <c r="H1" s="59" t="s">
        <v>36</v>
      </c>
      <c r="I1" s="57"/>
    </row>
    <row r="2" spans="1:11" x14ac:dyDescent="0.25">
      <c r="B2" s="2"/>
      <c r="D2" s="2"/>
    </row>
    <row r="3" spans="1:11" ht="28.8" x14ac:dyDescent="0.25">
      <c r="A3" s="16" t="s">
        <v>1</v>
      </c>
      <c r="B3" s="74"/>
      <c r="D3" s="17" t="s">
        <v>45</v>
      </c>
      <c r="E3" s="78">
        <v>1.349</v>
      </c>
      <c r="G3" s="50" t="s">
        <v>42</v>
      </c>
      <c r="H3" s="51" t="s">
        <v>23</v>
      </c>
      <c r="I3" s="60" t="s">
        <v>37</v>
      </c>
    </row>
    <row r="4" spans="1:11" x14ac:dyDescent="0.25">
      <c r="A4" s="18" t="s">
        <v>2</v>
      </c>
      <c r="B4" s="74"/>
      <c r="D4" s="17" t="s">
        <v>54</v>
      </c>
      <c r="E4" s="78">
        <v>647</v>
      </c>
      <c r="G4" s="29" t="s">
        <v>38</v>
      </c>
      <c r="I4" s="1"/>
      <c r="K4" s="2"/>
    </row>
    <row r="5" spans="1:11" x14ac:dyDescent="0.25">
      <c r="A5" s="18" t="s">
        <v>3</v>
      </c>
      <c r="B5" s="74"/>
      <c r="G5" s="29">
        <f>IF(C18="","",C18)</f>
        <v>390</v>
      </c>
      <c r="H5" s="36" t="e" cm="1">
        <f t="array" aca="1" ref="H5" ca="1">IF(G5="","",Cl(C18,D18,$B$6,$B$9,$E$9))</f>
        <v>#NAME?</v>
      </c>
      <c r="I5" s="72" t="e">
        <f ca="1">IF(G5="","",H5*1.73/E$8)</f>
        <v>#NAME?</v>
      </c>
      <c r="K5" s="2"/>
    </row>
    <row r="6" spans="1:11" x14ac:dyDescent="0.25">
      <c r="A6" s="18" t="s">
        <v>48</v>
      </c>
      <c r="B6" s="74" t="s">
        <v>49</v>
      </c>
      <c r="G6" s="4"/>
      <c r="H6" s="2"/>
      <c r="K6" s="2"/>
    </row>
    <row r="7" spans="1:11" x14ac:dyDescent="0.25">
      <c r="A7" s="18" t="s">
        <v>4</v>
      </c>
      <c r="B7" s="75"/>
      <c r="G7" s="4"/>
      <c r="H7" s="2"/>
      <c r="K7" s="2"/>
    </row>
    <row r="8" spans="1:11" x14ac:dyDescent="0.25">
      <c r="A8" s="18" t="s">
        <v>5</v>
      </c>
      <c r="B8" s="74">
        <v>168</v>
      </c>
      <c r="D8" s="17" t="s">
        <v>7</v>
      </c>
      <c r="E8" s="33">
        <f>IF(B8="","",0.007184*POWER((B8),0.725)*POWER(B9,0.425))</f>
        <v>1.9679371999242716</v>
      </c>
      <c r="G8" s="4"/>
      <c r="H8" s="2"/>
      <c r="K8" s="2"/>
    </row>
    <row r="9" spans="1:11" x14ac:dyDescent="0.25">
      <c r="A9" s="18" t="s">
        <v>6</v>
      </c>
      <c r="B9" s="74">
        <v>87</v>
      </c>
      <c r="D9" s="17" t="s">
        <v>8</v>
      </c>
      <c r="E9" s="33">
        <f>IF(B13="",B14*$E$4*1000,B13*$E$4/E3*1000)</f>
        <v>3273819.9999999995</v>
      </c>
      <c r="F9" s="61"/>
      <c r="G9" s="4"/>
      <c r="H9" s="2"/>
      <c r="K9" s="2"/>
    </row>
    <row r="10" spans="1:11" ht="15" customHeight="1" x14ac:dyDescent="0.25">
      <c r="A10" s="18" t="s">
        <v>31</v>
      </c>
      <c r="B10" s="74">
        <v>40</v>
      </c>
      <c r="G10" s="4"/>
      <c r="H10" s="2"/>
      <c r="K10" s="2"/>
    </row>
    <row r="11" spans="1:11" ht="14.25" customHeight="1" x14ac:dyDescent="0.25">
      <c r="A11" s="19" t="s">
        <v>55</v>
      </c>
      <c r="B11" s="76">
        <v>12.09</v>
      </c>
      <c r="G11" s="4"/>
      <c r="H11" s="2"/>
      <c r="K11" s="2"/>
    </row>
    <row r="12" spans="1:11" x14ac:dyDescent="0.25">
      <c r="A12" s="19" t="s">
        <v>52</v>
      </c>
      <c r="B12" s="76"/>
      <c r="D12" s="21" t="s">
        <v>41</v>
      </c>
      <c r="E12" s="73">
        <f>IF(B6="","enter gender in B6",IF(B6="F",95*B9+6170,IF(B6="M",166*B9+2490)))</f>
        <v>16932</v>
      </c>
      <c r="G12" s="4"/>
      <c r="H12" s="2"/>
      <c r="K12" s="2"/>
    </row>
    <row r="13" spans="1:11" ht="14.4" customHeight="1" x14ac:dyDescent="0.25">
      <c r="A13" s="19" t="s">
        <v>53</v>
      </c>
      <c r="B13" s="76" t="str">
        <f>IF(B11="","",IF(B12="","",B11-B12))</f>
        <v/>
      </c>
      <c r="D13" s="21" t="s">
        <v>39</v>
      </c>
      <c r="E13" s="53">
        <f>E12/B10</f>
        <v>423.3</v>
      </c>
      <c r="G13" s="4"/>
      <c r="H13" s="2"/>
      <c r="K13" s="2"/>
    </row>
    <row r="14" spans="1:11" x14ac:dyDescent="0.25">
      <c r="A14" s="19" t="s">
        <v>34</v>
      </c>
      <c r="B14" s="76">
        <v>5.0599999999999996</v>
      </c>
      <c r="D14" s="21" t="s">
        <v>40</v>
      </c>
      <c r="E14" s="54">
        <f>E13/60</f>
        <v>7.0550000000000006</v>
      </c>
      <c r="G14" s="4"/>
      <c r="H14" s="2"/>
      <c r="K14" s="2"/>
    </row>
    <row r="15" spans="1:11" x14ac:dyDescent="0.25">
      <c r="A15" s="46"/>
      <c r="B15" s="48"/>
      <c r="E15" s="52"/>
      <c r="G15" s="4"/>
      <c r="H15" s="2"/>
      <c r="K15" s="2"/>
    </row>
    <row r="16" spans="1:11" ht="15" customHeight="1" x14ac:dyDescent="0.25">
      <c r="G16" s="65"/>
      <c r="H16" s="2"/>
      <c r="K16" s="2"/>
    </row>
    <row r="17" spans="1:12" ht="15" customHeight="1" x14ac:dyDescent="0.25">
      <c r="A17" s="17" t="s">
        <v>25</v>
      </c>
      <c r="B17" s="77">
        <v>0.39583333333333331</v>
      </c>
      <c r="C17" s="34" t="s">
        <v>13</v>
      </c>
      <c r="D17" s="30" t="s">
        <v>32</v>
      </c>
      <c r="E17" s="30" t="s">
        <v>10</v>
      </c>
      <c r="G17" s="12"/>
      <c r="H17" s="11"/>
      <c r="I17" s="11"/>
      <c r="K17" s="2"/>
    </row>
    <row r="18" spans="1:12" ht="15" customHeight="1" x14ac:dyDescent="0.25">
      <c r="A18" s="21" t="s">
        <v>33</v>
      </c>
      <c r="B18" s="77">
        <v>0.66666666666666663</v>
      </c>
      <c r="C18" s="25">
        <f>IF(B18="","",(B18-$B$17)*60*24)</f>
        <v>390</v>
      </c>
      <c r="D18" s="74">
        <v>60</v>
      </c>
      <c r="E18" s="35">
        <f>IF(D18="","",LN(D18))</f>
        <v>4.0943445622221004</v>
      </c>
      <c r="G18" s="6"/>
      <c r="H18" s="2"/>
      <c r="K18" s="2"/>
    </row>
    <row r="19" spans="1:12" ht="15" customHeight="1" x14ac:dyDescent="0.25">
      <c r="A19" s="7"/>
      <c r="B19" s="31"/>
      <c r="C19" s="8"/>
      <c r="D19" s="10"/>
      <c r="E19" s="9"/>
      <c r="K19" s="2"/>
    </row>
    <row r="20" spans="1:12" s="11" customFormat="1" ht="15" customHeight="1" x14ac:dyDescent="0.25">
      <c r="A20" s="2"/>
      <c r="B20" s="7"/>
      <c r="C20" s="2"/>
      <c r="D20" s="32"/>
      <c r="G20" s="2"/>
      <c r="H20" s="3"/>
      <c r="I20" s="2"/>
    </row>
    <row r="21" spans="1:12" ht="15" customHeight="1" x14ac:dyDescent="0.25">
      <c r="B21" s="2"/>
      <c r="D21" s="62"/>
      <c r="F21" s="13"/>
      <c r="K21" s="2"/>
    </row>
    <row r="22" spans="1:12" ht="14.4" x14ac:dyDescent="0.25">
      <c r="B22" s="2"/>
      <c r="J22" s="13"/>
      <c r="K22" s="6"/>
    </row>
    <row r="23" spans="1:12" ht="45" customHeight="1" x14ac:dyDescent="0.3">
      <c r="B23" s="2"/>
      <c r="F23" s="11"/>
      <c r="J23" s="14"/>
      <c r="K23" s="15"/>
    </row>
    <row r="24" spans="1:12" ht="15.75" customHeight="1" x14ac:dyDescent="0.3">
      <c r="B24" s="2"/>
      <c r="F24" s="7"/>
      <c r="J24" s="14"/>
      <c r="K24" s="15"/>
    </row>
    <row r="25" spans="1:12" ht="17.25" customHeight="1" x14ac:dyDescent="0.3">
      <c r="B25" s="2"/>
      <c r="F25" s="7"/>
      <c r="J25" s="14"/>
      <c r="K25" s="15"/>
    </row>
    <row r="26" spans="1:12" ht="17.100000000000001" customHeight="1" x14ac:dyDescent="0.25">
      <c r="B26" s="2"/>
      <c r="F26" s="7"/>
    </row>
    <row r="27" spans="1:12" ht="17.100000000000001" customHeight="1" x14ac:dyDescent="0.25">
      <c r="A27" s="44"/>
      <c r="B27" s="41"/>
      <c r="C27" s="45"/>
      <c r="F27" s="7"/>
      <c r="L27" s="3"/>
    </row>
    <row r="28" spans="1:12" x14ac:dyDescent="0.25">
      <c r="F28" s="7"/>
      <c r="L28" s="3"/>
    </row>
    <row r="29" spans="1:12" x14ac:dyDescent="0.25">
      <c r="F29" s="7"/>
      <c r="L29" s="3"/>
    </row>
    <row r="30" spans="1:12" x14ac:dyDescent="0.25">
      <c r="L30" s="3"/>
    </row>
    <row r="31" spans="1:12" x14ac:dyDescent="0.25">
      <c r="L31" s="3"/>
    </row>
    <row r="32" spans="1:12" x14ac:dyDescent="0.25">
      <c r="L32" s="3"/>
    </row>
    <row r="33" spans="12:12" x14ac:dyDescent="0.25">
      <c r="L33" s="3"/>
    </row>
    <row r="34" spans="12:12" x14ac:dyDescent="0.25">
      <c r="L34" s="3"/>
    </row>
    <row r="35" spans="12:12" x14ac:dyDescent="0.25">
      <c r="L35" s="3"/>
    </row>
    <row r="36" spans="12:12" x14ac:dyDescent="0.25">
      <c r="L36" s="3"/>
    </row>
    <row r="37" spans="12:12" x14ac:dyDescent="0.25">
      <c r="L37" s="3"/>
    </row>
    <row r="38" spans="12:12" x14ac:dyDescent="0.25">
      <c r="L38" s="3"/>
    </row>
    <row r="39" spans="12:12" x14ac:dyDescent="0.25">
      <c r="L39" s="3"/>
    </row>
    <row r="40" spans="12:12" x14ac:dyDescent="0.25">
      <c r="L40" s="3"/>
    </row>
    <row r="41" spans="12:12" x14ac:dyDescent="0.25">
      <c r="L41" s="3"/>
    </row>
    <row r="42" spans="12:12" x14ac:dyDescent="0.25">
      <c r="L42" s="3"/>
    </row>
  </sheetData>
  <sheetProtection algorithmName="SHA-512" hashValue="4OAXnyqthMt1mL+SfoqQ+41dLbPNAQpP76sRiS32y5rO9vd/YtHMYrye7iZFGHJ4rVlSAC04/dgbf/F3Ps0Q4A==" saltValue="XnvoVWa2IfIsycnKQvoFTg==" spinCount="100000" sheet="1" selectLockedCells="1"/>
  <conditionalFormatting sqref="E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6" xr:uid="{00000000-0002-0000-0100-000000000000}">
      <formula1>"F, M"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34C7845C88B4589819AB139DE35DD" ma:contentTypeVersion="17" ma:contentTypeDescription="Create a new document." ma:contentTypeScope="" ma:versionID="66e8f5845a8e2fa9bcad16061ff97216">
  <xsd:schema xmlns:xsd="http://www.w3.org/2001/XMLSchema" xmlns:xs="http://www.w3.org/2001/XMLSchema" xmlns:p="http://schemas.microsoft.com/office/2006/metadata/properties" xmlns:ns3="d0d5103c-b90a-4a38-b610-628dbca45d0e" xmlns:ns4="63bc265c-ce59-4c31-a2a5-336a7fcf9d48" targetNamespace="http://schemas.microsoft.com/office/2006/metadata/properties" ma:root="true" ma:fieldsID="aec810c00b1df2db071a47aec5c6ac03" ns3:_="" ns4:_="">
    <xsd:import namespace="d0d5103c-b90a-4a38-b610-628dbca45d0e"/>
    <xsd:import namespace="63bc265c-ce59-4c31-a2a5-336a7fcf9d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5103c-b90a-4a38-b610-628dbca45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c265c-ce59-4c31-a2a5-336a7fcf9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d5103c-b90a-4a38-b610-628dbca45d0e" xsi:nil="true"/>
  </documentManagement>
</p:properties>
</file>

<file path=customXml/itemProps1.xml><?xml version="1.0" encoding="utf-8"?>
<ds:datastoreItem xmlns:ds="http://schemas.openxmlformats.org/officeDocument/2006/customXml" ds:itemID="{5EE946AC-C8C5-4634-9B23-46B64AC8F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5103c-b90a-4a38-b610-628dbca45d0e"/>
    <ds:schemaRef ds:uri="63bc265c-ce59-4c31-a2a5-336a7fcf9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3441B6-E95A-4F42-828E-F5211D978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E4E22-DF45-4B37-91E1-046198A098DD}">
  <ds:schemaRefs>
    <ds:schemaRef ds:uri="http://schemas.microsoft.com/office/2006/documentManagement/types"/>
    <ds:schemaRef ds:uri="d0d5103c-b90a-4a38-b610-628dbca45d0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3bc265c-ce59-4c31-a2a5-336a7fcf9d4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MSP mGFR</vt:lpstr>
      <vt:lpstr>SSP mGFR</vt:lpstr>
    </vt:vector>
  </TitlesOfParts>
  <Manager/>
  <Company>European Kidney Function Consortium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MSP_SSP Calculation Sheet</dc:title>
  <dc:subject>Iohexol Plasma Clearance</dc:subject>
  <dc:creator>Ebert, Natalie</dc:creator>
  <cp:keywords/>
  <dc:description>Disclaimer: The use of this spread sheet is on the users own responsibility. The authors cannot be taken responsible if results are not plausible.</dc:description>
  <cp:lastModifiedBy>DELANAYE Pierre</cp:lastModifiedBy>
  <cp:revision/>
  <dcterms:created xsi:type="dcterms:W3CDTF">2013-05-03T21:01:18Z</dcterms:created>
  <dcterms:modified xsi:type="dcterms:W3CDTF">2024-08-26T08:13:23Z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0x010100E4A34C7845C88B4589819AB139DE35DD</vt:lpwstr>
  </property>
</Properties>
</file>